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Library\"/>
    </mc:Choice>
  </mc:AlternateContent>
  <bookViews>
    <workbookView xWindow="-108" yWindow="-108" windowWidth="19416" windowHeight="10416"/>
  </bookViews>
  <sheets>
    <sheet name="CoF Case 1" sheetId="2" r:id="rId1"/>
    <sheet name="CoF Case 2" sheetId="3" r:id="rId2"/>
    <sheet name="Spread Rate" sheetId="4" r:id="rId3"/>
    <sheet name="Income effect on Case 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E20" i="2"/>
  <c r="J12" i="4"/>
  <c r="J13" i="4" s="1"/>
  <c r="D3" i="4"/>
  <c r="D4" i="4"/>
  <c r="D5" i="4"/>
  <c r="D6" i="4"/>
  <c r="D7" i="4"/>
  <c r="D8" i="4"/>
  <c r="D9" i="4"/>
  <c r="D10" i="4"/>
  <c r="D11" i="4"/>
  <c r="D2" i="4"/>
  <c r="H17" i="6"/>
  <c r="H16" i="6"/>
  <c r="C12" i="6"/>
  <c r="J12" i="6"/>
  <c r="J13" i="6"/>
  <c r="J14" i="6"/>
  <c r="J11" i="6"/>
  <c r="I15" i="6"/>
  <c r="I6" i="6"/>
  <c r="I3" i="6"/>
  <c r="H2" i="6"/>
  <c r="B12" i="4"/>
  <c r="H6" i="6"/>
  <c r="H5" i="6"/>
  <c r="J5" i="6" s="1"/>
  <c r="H4" i="6"/>
  <c r="J4" i="6" s="1"/>
  <c r="H3" i="6"/>
  <c r="C4" i="6"/>
  <c r="E4" i="6" s="1"/>
  <c r="C3" i="6"/>
  <c r="E3" i="6" s="1"/>
  <c r="J17" i="2" l="1"/>
  <c r="J6" i="6"/>
  <c r="J3" i="6"/>
  <c r="H7" i="6"/>
  <c r="D12" i="4"/>
  <c r="D13" i="4" s="1"/>
  <c r="F19" i="4" s="1"/>
  <c r="J15" i="6"/>
  <c r="C19" i="3"/>
  <c r="C17" i="2"/>
  <c r="G14" i="3"/>
  <c r="G12" i="2"/>
  <c r="H12" i="4"/>
  <c r="C3" i="4"/>
  <c r="E3" i="4" s="1"/>
  <c r="D6" i="3" l="1"/>
  <c r="D14" i="3"/>
  <c r="D7" i="3"/>
  <c r="D15" i="3"/>
  <c r="D8" i="3"/>
  <c r="D16" i="3"/>
  <c r="D9" i="3"/>
  <c r="D17" i="3"/>
  <c r="D11" i="3"/>
  <c r="D4" i="3"/>
  <c r="D12" i="3"/>
  <c r="D5" i="3"/>
  <c r="D13" i="3"/>
  <c r="D10" i="3"/>
  <c r="D18" i="3"/>
  <c r="F18" i="3" s="1"/>
  <c r="D16" i="2"/>
  <c r="F16" i="2" s="1"/>
  <c r="I3" i="2"/>
  <c r="C2" i="6"/>
  <c r="M14" i="4"/>
  <c r="I3" i="4"/>
  <c r="K3" i="4" s="1"/>
  <c r="I11" i="4"/>
  <c r="K11" i="4" s="1"/>
  <c r="I8" i="4"/>
  <c r="K8" i="4" s="1"/>
  <c r="I2" i="4"/>
  <c r="I10" i="4"/>
  <c r="K10" i="4" s="1"/>
  <c r="I7" i="4"/>
  <c r="K7" i="4" s="1"/>
  <c r="I4" i="4"/>
  <c r="K4" i="4" s="1"/>
  <c r="I9" i="4"/>
  <c r="K9" i="4" s="1"/>
  <c r="I6" i="4"/>
  <c r="K6" i="4" s="1"/>
  <c r="I5" i="4"/>
  <c r="K5" i="4" s="1"/>
  <c r="F17" i="4"/>
  <c r="C8" i="4"/>
  <c r="E8" i="4" s="1"/>
  <c r="C7" i="4"/>
  <c r="E7" i="4" s="1"/>
  <c r="C6" i="4"/>
  <c r="E6" i="4" s="1"/>
  <c r="C5" i="4"/>
  <c r="E5" i="4" s="1"/>
  <c r="C2" i="4"/>
  <c r="E2" i="4" s="1"/>
  <c r="C4" i="4"/>
  <c r="E4" i="4" s="1"/>
  <c r="C10" i="4"/>
  <c r="E10" i="4" s="1"/>
  <c r="C9" i="4"/>
  <c r="E9" i="4" s="1"/>
  <c r="C11" i="4"/>
  <c r="E11" i="4" s="1"/>
  <c r="I8" i="2"/>
  <c r="E12" i="4" l="1"/>
  <c r="K2" i="4"/>
  <c r="K12" i="4" s="1"/>
  <c r="D2" i="6" s="1"/>
  <c r="E2" i="6" s="1"/>
  <c r="I12" i="4"/>
  <c r="C12" i="4"/>
  <c r="I8" i="3"/>
  <c r="I9" i="3" s="1"/>
  <c r="F15" i="4" l="1"/>
  <c r="I2" i="6"/>
  <c r="J2" i="6" s="1"/>
  <c r="J7" i="6" s="1"/>
  <c r="G17" i="3"/>
  <c r="G15" i="3"/>
  <c r="G16" i="3"/>
  <c r="D3" i="2"/>
  <c r="G14" i="2"/>
  <c r="G15" i="2"/>
  <c r="G13" i="2"/>
  <c r="J4" i="2"/>
  <c r="F17" i="3"/>
  <c r="I3" i="3"/>
  <c r="I6" i="3" s="1"/>
  <c r="I7" i="3" s="1"/>
  <c r="D15" i="2"/>
  <c r="F15" i="2" s="1"/>
  <c r="F15" i="3"/>
  <c r="D13" i="2"/>
  <c r="F13" i="2" s="1"/>
  <c r="D3" i="3"/>
  <c r="D19" i="3" s="1"/>
  <c r="F4" i="3"/>
  <c r="F5" i="3"/>
  <c r="F7" i="3"/>
  <c r="F8" i="3"/>
  <c r="F10" i="3"/>
  <c r="F13" i="3"/>
  <c r="F6" i="3"/>
  <c r="F9" i="3"/>
  <c r="F11" i="3"/>
  <c r="F12" i="3"/>
  <c r="F14" i="3"/>
  <c r="F16" i="3"/>
  <c r="D14" i="2"/>
  <c r="F14" i="2" s="1"/>
  <c r="D9" i="2"/>
  <c r="F9" i="2" s="1"/>
  <c r="D8" i="2"/>
  <c r="F8" i="2" s="1"/>
  <c r="D4" i="2"/>
  <c r="F4" i="2" s="1"/>
  <c r="D10" i="2"/>
  <c r="F10" i="2" s="1"/>
  <c r="D7" i="2"/>
  <c r="F7" i="2" s="1"/>
  <c r="D5" i="2"/>
  <c r="F5" i="2" s="1"/>
  <c r="D11" i="2"/>
  <c r="F11" i="2" s="1"/>
  <c r="D12" i="2"/>
  <c r="F12" i="2" s="1"/>
  <c r="D6" i="2"/>
  <c r="F6" i="2" s="1"/>
  <c r="F3" i="2" l="1"/>
  <c r="F17" i="2" s="1"/>
  <c r="D17" i="2"/>
  <c r="I6" i="2"/>
  <c r="J3" i="2"/>
  <c r="F3" i="3"/>
  <c r="F19" i="3" s="1"/>
  <c r="I7" i="2" l="1"/>
  <c r="C5" i="6"/>
  <c r="E5" i="6" l="1"/>
  <c r="E6" i="6" s="1"/>
  <c r="C6" i="6"/>
  <c r="C9" i="6" l="1"/>
  <c r="C13" i="6" s="1"/>
  <c r="C14" i="6" s="1"/>
</calcChain>
</file>

<file path=xl/sharedStrings.xml><?xml version="1.0" encoding="utf-8"?>
<sst xmlns="http://schemas.openxmlformats.org/spreadsheetml/2006/main" count="152" uniqueCount="67">
  <si>
    <t>;|f]tx?</t>
  </si>
  <si>
    <t>;|f]tsf] gfd</t>
  </si>
  <si>
    <t>k|s[lt</t>
  </si>
  <si>
    <t>/sd</t>
  </si>
  <si>
    <t>ef/</t>
  </si>
  <si>
    <t>efl/t b/</t>
  </si>
  <si>
    <t>Jofhb/</t>
  </si>
  <si>
    <t>art</t>
  </si>
  <si>
    <t>art tyf lgIf]k</t>
  </si>
  <si>
    <t>k'FhL</t>
  </si>
  <si>
    <t xml:space="preserve">z]o/ </t>
  </si>
  <si>
    <t>sf]ifx?</t>
  </si>
  <si>
    <t>bfloTj</t>
  </si>
  <si>
    <t>jfXo C0f</t>
  </si>
  <si>
    <t>hDdf</t>
  </si>
  <si>
    <t>;|f]tsf] pkof]u</t>
  </si>
  <si>
    <t>C0f nufgL</t>
  </si>
  <si>
    <t>gub</t>
  </si>
  <si>
    <t>a}+s df}Hbft</t>
  </si>
  <si>
    <t>hDdf pkof]u</t>
  </si>
  <si>
    <t>t/ntf /sd</t>
  </si>
  <si>
    <t>tn/tf k|ltzt</t>
  </si>
  <si>
    <t>l:y/ / cGo ;DklQ</t>
  </si>
  <si>
    <t>art lgIf]k</t>
  </si>
  <si>
    <t>art gofF</t>
  </si>
  <si>
    <t xml:space="preserve">C0f </t>
  </si>
  <si>
    <t>Spread Rate</t>
  </si>
  <si>
    <t>kN;{ cg'kft</t>
  </si>
  <si>
    <t>e'QmfgL ug'{kg]{</t>
  </si>
  <si>
    <t>CD</t>
  </si>
  <si>
    <t>;DklQ</t>
  </si>
  <si>
    <t>Jofh cfDbfgL</t>
  </si>
  <si>
    <t>s'n hDdf</t>
  </si>
  <si>
    <t>b/</t>
  </si>
  <si>
    <t>k'FhL tyf bfloTj</t>
  </si>
  <si>
    <t>Jofh vr{</t>
  </si>
  <si>
    <t>z]o/ k'FhL</t>
  </si>
  <si>
    <t>e'QmfgL lbg'kg]{</t>
  </si>
  <si>
    <t>afXo C0f</t>
  </si>
  <si>
    <t>cfo Joo</t>
  </si>
  <si>
    <t>v'b Jofh cfo</t>
  </si>
  <si>
    <t>gfkmf jf 3f6f</t>
  </si>
  <si>
    <t>;~rfng vr{ -dfgf}+_</t>
  </si>
  <si>
    <t>C0f hf]lvd sf]if -dfgf}+_</t>
  </si>
  <si>
    <t>C0f jlu{s/0f</t>
  </si>
  <si>
    <t>hf]lvd sf]ifÜ</t>
  </si>
  <si>
    <t>c;n C0f</t>
  </si>
  <si>
    <t>s;dn C0f</t>
  </si>
  <si>
    <t>z+sf:kb C0f</t>
  </si>
  <si>
    <t>v/fa C0f</t>
  </si>
  <si>
    <t>C0f /sd</t>
  </si>
  <si>
    <t>sf]if /sd</t>
  </si>
  <si>
    <t>s'n efvf gf3]sf] C0f</t>
  </si>
  <si>
    <t>k|ltzt</t>
  </si>
  <si>
    <t>s'n ;DklQdf cfob/</t>
  </si>
  <si>
    <t xml:space="preserve">art </t>
  </si>
  <si>
    <t>art gofF cfjlws</t>
  </si>
  <si>
    <t>WACC</t>
  </si>
  <si>
    <t>cGo cfo ljljw</t>
  </si>
  <si>
    <t>sf]ifx? vr{ gx'g]</t>
  </si>
  <si>
    <t>ld&gt;0f</t>
  </si>
  <si>
    <t>lgoldt</t>
  </si>
  <si>
    <t>cfjlws</t>
  </si>
  <si>
    <t>P]lR5s</t>
  </si>
  <si>
    <t>min 40%</t>
  </si>
  <si>
    <t>Max 20%</t>
  </si>
  <si>
    <t>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</si>
</sst>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theme="1"/>
      <name val="Preeti"/>
    </font>
    <font>
      <sz val="11"/>
      <color theme="1"/>
      <name val="Preeti"/>
    </font>
    <font>
      <sz val="11"/>
      <color theme="1"/>
      <name val="Fontasy Himali"/>
      <family val="5"/>
    </font>
    <font>
      <sz val="11"/>
      <color rgb="FFFF0000"/>
      <name val="Fontasy Himali"/>
      <family val="5"/>
    </font>
    <font>
      <b/>
      <sz val="11"/>
      <color theme="1"/>
      <name val="Fontasy Himali"/>
      <family val="5"/>
    </font>
    <font>
      <b/>
      <sz val="11"/>
      <color rgb="FFFF0000"/>
      <name val="Fontasy Himali"/>
      <family val="5"/>
    </font>
    <font>
      <b/>
      <sz val="14"/>
      <color theme="1"/>
      <name val="Preeti"/>
    </font>
    <font>
      <sz val="11"/>
      <name val="Fontasy Himali"/>
      <family val="5"/>
    </font>
    <font>
      <b/>
      <sz val="11"/>
      <name val="Fontasy Himali"/>
      <family val="5"/>
    </font>
    <font>
      <sz val="18"/>
      <color theme="1"/>
      <name val="Preeti"/>
    </font>
    <font>
      <sz val="11"/>
      <color rgb="FFFF0000"/>
      <name val="Preeti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sz val="14"/>
      <color theme="1"/>
      <name val="Fontasy Himali"/>
      <family val="5"/>
    </font>
    <font>
      <sz val="16"/>
      <color theme="1"/>
      <name val="Preeti"/>
    </font>
    <font>
      <sz val="16"/>
      <color theme="1"/>
      <name val="Fontasy Himali"/>
      <family val="5"/>
    </font>
    <font>
      <sz val="16"/>
      <color theme="1"/>
      <name val="Calibri"/>
      <family val="2"/>
      <scheme val="minor"/>
    </font>
    <font>
      <sz val="16"/>
      <name val="Fontasy Himali"/>
      <family val="5"/>
    </font>
    <font>
      <b/>
      <sz val="16"/>
      <color theme="1"/>
      <name val="Fontasy Himali"/>
      <family val="5"/>
    </font>
    <font>
      <b/>
      <sz val="16"/>
      <name val="Fontasy Himali"/>
      <family val="5"/>
    </font>
    <font>
      <sz val="18"/>
      <color theme="1"/>
      <name val="Calibri"/>
      <family val="2"/>
      <scheme val="minor"/>
    </font>
    <font>
      <b/>
      <sz val="18"/>
      <color theme="1"/>
      <name val="Preeti"/>
    </font>
    <font>
      <sz val="20"/>
      <color theme="1"/>
      <name val="Preeti"/>
    </font>
    <font>
      <sz val="20"/>
      <color theme="0"/>
      <name val="Preeti"/>
    </font>
    <font>
      <b/>
      <sz val="20"/>
      <color theme="1"/>
      <name val="Preeti"/>
    </font>
    <font>
      <sz val="15"/>
      <color theme="1"/>
      <name val="Preeti"/>
    </font>
    <font>
      <sz val="16"/>
      <color rgb="FF000000"/>
      <name val="Preeti"/>
    </font>
    <font>
      <sz val="11"/>
      <color theme="0"/>
      <name val="Preeti"/>
    </font>
    <font>
      <sz val="11"/>
      <color theme="0"/>
      <name val="Fontasy Himali"/>
      <family val="5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164" fontId="0" fillId="0" borderId="0" xfId="0" applyNumberFormat="1"/>
    <xf numFmtId="43" fontId="3" fillId="0" borderId="0" xfId="0" applyNumberFormat="1" applyFont="1"/>
    <xf numFmtId="0" fontId="0" fillId="0" borderId="0" xfId="0" quotePrefix="1"/>
    <xf numFmtId="0" fontId="2" fillId="0" borderId="1" xfId="0" applyFont="1" applyBorder="1"/>
    <xf numFmtId="0" fontId="4" fillId="0" borderId="1" xfId="0" applyFont="1" applyBorder="1" applyAlignment="1">
      <alignment horizontal="centerContinuous"/>
    </xf>
    <xf numFmtId="0" fontId="5" fillId="0" borderId="1" xfId="0" applyFont="1" applyBorder="1"/>
    <xf numFmtId="164" fontId="6" fillId="0" borderId="1" xfId="1" applyNumberFormat="1" applyFont="1" applyFill="1" applyBorder="1"/>
    <xf numFmtId="165" fontId="6" fillId="0" borderId="1" xfId="2" applyNumberFormat="1" applyFont="1" applyFill="1" applyBorder="1"/>
    <xf numFmtId="10" fontId="6" fillId="0" borderId="1" xfId="2" applyNumberFormat="1" applyFont="1" applyFill="1" applyBorder="1"/>
    <xf numFmtId="10" fontId="6" fillId="0" borderId="1" xfId="0" applyNumberFormat="1" applyFont="1" applyBorder="1"/>
    <xf numFmtId="10" fontId="7" fillId="0" borderId="1" xfId="0" applyNumberFormat="1" applyFont="1" applyBorder="1"/>
    <xf numFmtId="164" fontId="8" fillId="0" borderId="1" xfId="1" applyNumberFormat="1" applyFont="1" applyFill="1" applyBorder="1"/>
    <xf numFmtId="165" fontId="8" fillId="0" borderId="1" xfId="0" applyNumberFormat="1" applyFont="1" applyBorder="1"/>
    <xf numFmtId="0" fontId="6" fillId="0" borderId="1" xfId="0" applyFont="1" applyBorder="1"/>
    <xf numFmtId="10" fontId="9" fillId="0" borderId="1" xfId="0" applyNumberFormat="1" applyFont="1" applyBorder="1"/>
    <xf numFmtId="0" fontId="10" fillId="0" borderId="1" xfId="0" applyFont="1" applyBorder="1" applyAlignment="1">
      <alignment horizontal="centerContinuous"/>
    </xf>
    <xf numFmtId="0" fontId="10" fillId="0" borderId="1" xfId="0" applyFont="1" applyBorder="1"/>
    <xf numFmtId="0" fontId="5" fillId="2" borderId="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0" fontId="4" fillId="2" borderId="1" xfId="2" applyNumberFormat="1" applyFont="1" applyFill="1" applyBorder="1"/>
    <xf numFmtId="164" fontId="6" fillId="2" borderId="1" xfId="0" applyNumberFormat="1" applyFont="1" applyFill="1" applyBorder="1"/>
    <xf numFmtId="164" fontId="8" fillId="2" borderId="1" xfId="0" applyNumberFormat="1" applyFont="1" applyFill="1" applyBorder="1"/>
    <xf numFmtId="10" fontId="8" fillId="2" borderId="1" xfId="2" applyNumberFormat="1" applyFont="1" applyFill="1" applyBorder="1"/>
    <xf numFmtId="0" fontId="5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/>
    <xf numFmtId="165" fontId="11" fillId="0" borderId="1" xfId="2" applyNumberFormat="1" applyFont="1" applyFill="1" applyBorder="1"/>
    <xf numFmtId="10" fontId="11" fillId="0" borderId="1" xfId="2" applyNumberFormat="1" applyFont="1" applyFill="1" applyBorder="1"/>
    <xf numFmtId="10" fontId="11" fillId="0" borderId="1" xfId="0" applyNumberFormat="1" applyFont="1" applyBorder="1"/>
    <xf numFmtId="10" fontId="12" fillId="0" borderId="1" xfId="0" applyNumberFormat="1" applyFont="1" applyBorder="1"/>
    <xf numFmtId="164" fontId="4" fillId="2" borderId="1" xfId="0" applyNumberFormat="1" applyFont="1" applyFill="1" applyBorder="1" applyAlignment="1">
      <alignment horizontal="right"/>
    </xf>
    <xf numFmtId="10" fontId="8" fillId="0" borderId="1" xfId="0" applyNumberFormat="1" applyFont="1" applyBorder="1"/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12" fillId="0" borderId="1" xfId="1" applyNumberFormat="1" applyFont="1" applyFill="1" applyBorder="1"/>
    <xf numFmtId="10" fontId="0" fillId="0" borderId="0" xfId="0" applyNumberFormat="1"/>
    <xf numFmtId="9" fontId="0" fillId="0" borderId="0" xfId="0" applyNumberFormat="1"/>
    <xf numFmtId="0" fontId="10" fillId="0" borderId="0" xfId="0" applyFont="1" applyAlignment="1">
      <alignment horizontal="centerContinuous"/>
    </xf>
    <xf numFmtId="0" fontId="10" fillId="0" borderId="5" xfId="0" applyFont="1" applyBorder="1"/>
    <xf numFmtId="10" fontId="6" fillId="0" borderId="0" xfId="0" applyNumberFormat="1" applyFont="1"/>
    <xf numFmtId="10" fontId="12" fillId="0" borderId="0" xfId="0" applyNumberFormat="1" applyFont="1"/>
    <xf numFmtId="0" fontId="4" fillId="2" borderId="6" xfId="0" applyFont="1" applyFill="1" applyBorder="1"/>
    <xf numFmtId="9" fontId="6" fillId="0" borderId="1" xfId="2" applyFont="1" applyBorder="1"/>
    <xf numFmtId="10" fontId="8" fillId="0" borderId="0" xfId="0" applyNumberFormat="1" applyFont="1"/>
    <xf numFmtId="10" fontId="6" fillId="0" borderId="1" xfId="2" applyNumberFormat="1" applyFont="1" applyBorder="1"/>
    <xf numFmtId="164" fontId="4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0" fontId="4" fillId="2" borderId="6" xfId="2" applyNumberFormat="1" applyFont="1" applyFill="1" applyBorder="1"/>
    <xf numFmtId="10" fontId="6" fillId="0" borderId="0" xfId="2" applyNumberFormat="1" applyFont="1"/>
    <xf numFmtId="0" fontId="5" fillId="3" borderId="6" xfId="0" applyFont="1" applyFill="1" applyBorder="1"/>
    <xf numFmtId="164" fontId="6" fillId="3" borderId="1" xfId="0" applyNumberFormat="1" applyFont="1" applyFill="1" applyBorder="1"/>
    <xf numFmtId="0" fontId="5" fillId="3" borderId="1" xfId="0" applyFont="1" applyFill="1" applyBorder="1"/>
    <xf numFmtId="0" fontId="17" fillId="0" borderId="1" xfId="0" applyFont="1" applyBorder="1"/>
    <xf numFmtId="0" fontId="20" fillId="0" borderId="1" xfId="0" applyFont="1" applyBorder="1"/>
    <xf numFmtId="164" fontId="21" fillId="0" borderId="1" xfId="1" applyNumberFormat="1" applyFont="1" applyFill="1" applyBorder="1"/>
    <xf numFmtId="165" fontId="21" fillId="0" borderId="1" xfId="2" applyNumberFormat="1" applyFont="1" applyFill="1" applyBorder="1"/>
    <xf numFmtId="10" fontId="21" fillId="0" borderId="1" xfId="2" applyNumberFormat="1" applyFont="1" applyFill="1" applyBorder="1"/>
    <xf numFmtId="0" fontId="22" fillId="2" borderId="0" xfId="0" applyFont="1" applyFill="1"/>
    <xf numFmtId="10" fontId="21" fillId="0" borderId="1" xfId="0" applyNumberFormat="1" applyFont="1" applyBorder="1"/>
    <xf numFmtId="164" fontId="23" fillId="0" borderId="1" xfId="1" applyNumberFormat="1" applyFont="1" applyFill="1" applyBorder="1"/>
    <xf numFmtId="10" fontId="23" fillId="0" borderId="1" xfId="2" applyNumberFormat="1" applyFont="1" applyFill="1" applyBorder="1"/>
    <xf numFmtId="10" fontId="23" fillId="0" borderId="1" xfId="0" applyNumberFormat="1" applyFont="1" applyBorder="1"/>
    <xf numFmtId="164" fontId="24" fillId="0" borderId="1" xfId="1" applyNumberFormat="1" applyFont="1" applyFill="1" applyBorder="1"/>
    <xf numFmtId="165" fontId="24" fillId="0" borderId="1" xfId="0" applyNumberFormat="1" applyFont="1" applyBorder="1"/>
    <xf numFmtId="10" fontId="25" fillId="0" borderId="1" xfId="0" applyNumberFormat="1" applyFont="1" applyBorder="1"/>
    <xf numFmtId="10" fontId="26" fillId="2" borderId="1" xfId="0" applyNumberFormat="1" applyFont="1" applyFill="1" applyBorder="1"/>
    <xf numFmtId="0" fontId="27" fillId="0" borderId="1" xfId="0" applyFont="1" applyBorder="1"/>
    <xf numFmtId="0" fontId="26" fillId="0" borderId="0" xfId="0" applyFont="1"/>
    <xf numFmtId="165" fontId="0" fillId="0" borderId="0" xfId="2" applyNumberFormat="1" applyFont="1"/>
    <xf numFmtId="0" fontId="0" fillId="0" borderId="7" xfId="0" applyBorder="1"/>
    <xf numFmtId="0" fontId="0" fillId="0" borderId="8" xfId="0" applyBorder="1"/>
    <xf numFmtId="0" fontId="15" fillId="0" borderId="8" xfId="0" applyFont="1" applyBorder="1"/>
    <xf numFmtId="0" fontId="15" fillId="0" borderId="0" xfId="0" applyFont="1"/>
    <xf numFmtId="10" fontId="0" fillId="0" borderId="0" xfId="2" applyNumberFormat="1" applyFont="1"/>
    <xf numFmtId="10" fontId="17" fillId="0" borderId="1" xfId="2" applyNumberFormat="1" applyFont="1" applyBorder="1"/>
    <xf numFmtId="0" fontId="28" fillId="3" borderId="9" xfId="0" applyFont="1" applyFill="1" applyBorder="1"/>
    <xf numFmtId="0" fontId="28" fillId="3" borderId="10" xfId="0" applyFont="1" applyFill="1" applyBorder="1" applyAlignment="1">
      <alignment horizontal="right"/>
    </xf>
    <xf numFmtId="0" fontId="30" fillId="3" borderId="10" xfId="0" applyFont="1" applyFill="1" applyBorder="1" applyAlignment="1">
      <alignment horizontal="right"/>
    </xf>
    <xf numFmtId="0" fontId="30" fillId="3" borderId="11" xfId="0" applyFont="1" applyFill="1" applyBorder="1" applyAlignment="1">
      <alignment horizontal="right"/>
    </xf>
    <xf numFmtId="0" fontId="28" fillId="0" borderId="12" xfId="0" applyFont="1" applyBorder="1"/>
    <xf numFmtId="166" fontId="17" fillId="0" borderId="13" xfId="0" applyNumberFormat="1" applyFont="1" applyBorder="1"/>
    <xf numFmtId="0" fontId="28" fillId="0" borderId="14" xfId="0" applyFont="1" applyBorder="1"/>
    <xf numFmtId="0" fontId="18" fillId="0" borderId="15" xfId="0" applyFont="1" applyBorder="1"/>
    <xf numFmtId="0" fontId="17" fillId="0" borderId="15" xfId="0" applyFont="1" applyBorder="1"/>
    <xf numFmtId="166" fontId="18" fillId="0" borderId="16" xfId="0" applyNumberFormat="1" applyFont="1" applyBorder="1"/>
    <xf numFmtId="0" fontId="18" fillId="0" borderId="16" xfId="0" applyFont="1" applyBorder="1"/>
    <xf numFmtId="0" fontId="16" fillId="5" borderId="0" xfId="0" applyFont="1" applyFill="1"/>
    <xf numFmtId="0" fontId="29" fillId="4" borderId="9" xfId="0" applyFont="1" applyFill="1" applyBorder="1"/>
    <xf numFmtId="0" fontId="29" fillId="4" borderId="11" xfId="0" applyFont="1" applyFill="1" applyBorder="1"/>
    <xf numFmtId="0" fontId="28" fillId="0" borderId="17" xfId="0" applyFont="1" applyBorder="1"/>
    <xf numFmtId="166" fontId="21" fillId="0" borderId="13" xfId="0" applyNumberFormat="1" applyFont="1" applyBorder="1"/>
    <xf numFmtId="0" fontId="21" fillId="0" borderId="13" xfId="0" applyFont="1" applyBorder="1"/>
    <xf numFmtId="0" fontId="31" fillId="0" borderId="19" xfId="0" applyFont="1" applyBorder="1" applyAlignment="1">
      <alignment vertical="center" wrapText="1"/>
    </xf>
    <xf numFmtId="2" fontId="21" fillId="0" borderId="13" xfId="0" applyNumberFormat="1" applyFont="1" applyBorder="1"/>
    <xf numFmtId="9" fontId="19" fillId="0" borderId="20" xfId="2" applyFont="1" applyBorder="1" applyAlignment="1">
      <alignment vertical="center" wrapText="1"/>
    </xf>
    <xf numFmtId="0" fontId="6" fillId="0" borderId="4" xfId="0" applyFont="1" applyBorder="1"/>
    <xf numFmtId="0" fontId="32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/>
    </xf>
    <xf numFmtId="0" fontId="31" fillId="7" borderId="9" xfId="0" applyFont="1" applyFill="1" applyBorder="1" applyAlignment="1">
      <alignment vertical="center" wrapText="1"/>
    </xf>
    <xf numFmtId="0" fontId="6" fillId="7" borderId="11" xfId="0" applyFont="1" applyFill="1" applyBorder="1"/>
    <xf numFmtId="0" fontId="31" fillId="7" borderId="14" xfId="0" applyFont="1" applyFill="1" applyBorder="1" applyAlignment="1">
      <alignment vertical="center" wrapText="1"/>
    </xf>
    <xf numFmtId="10" fontId="6" fillId="7" borderId="16" xfId="2" applyNumberFormat="1" applyFont="1" applyFill="1" applyBorder="1"/>
    <xf numFmtId="2" fontId="24" fillId="7" borderId="18" xfId="0" applyNumberFormat="1" applyFont="1" applyFill="1" applyBorder="1"/>
    <xf numFmtId="0" fontId="30" fillId="7" borderId="17" xfId="0" applyFont="1" applyFill="1" applyBorder="1"/>
    <xf numFmtId="0" fontId="30" fillId="7" borderId="1" xfId="0" applyFont="1" applyFill="1" applyBorder="1"/>
    <xf numFmtId="10" fontId="19" fillId="7" borderId="1" xfId="2" applyNumberFormat="1" applyFont="1" applyFill="1" applyBorder="1"/>
    <xf numFmtId="164" fontId="8" fillId="8" borderId="1" xfId="1" applyNumberFormat="1" applyFont="1" applyFill="1" applyBorder="1"/>
    <xf numFmtId="0" fontId="5" fillId="8" borderId="1" xfId="0" applyFont="1" applyFill="1" applyBorder="1"/>
    <xf numFmtId="164" fontId="6" fillId="8" borderId="1" xfId="1" applyNumberFormat="1" applyFont="1" applyFill="1" applyBorder="1"/>
    <xf numFmtId="165" fontId="6" fillId="8" borderId="1" xfId="2" applyNumberFormat="1" applyFont="1" applyFill="1" applyBorder="1"/>
    <xf numFmtId="10" fontId="6" fillId="8" borderId="1" xfId="2" applyNumberFormat="1" applyFont="1" applyFill="1" applyBorder="1"/>
    <xf numFmtId="10" fontId="6" fillId="8" borderId="1" xfId="0" applyNumberFormat="1" applyFont="1" applyFill="1" applyBorder="1"/>
    <xf numFmtId="10" fontId="6" fillId="9" borderId="1" xfId="2" applyNumberFormat="1" applyFont="1" applyFill="1" applyBorder="1"/>
    <xf numFmtId="10" fontId="6" fillId="10" borderId="1" xfId="2" applyNumberFormat="1" applyFont="1" applyFill="1" applyBorder="1"/>
    <xf numFmtId="0" fontId="33" fillId="11" borderId="1" xfId="0" applyFont="1" applyFill="1" applyBorder="1"/>
    <xf numFmtId="164" fontId="34" fillId="11" borderId="1" xfId="1" applyNumberFormat="1" applyFont="1" applyFill="1" applyBorder="1"/>
    <xf numFmtId="165" fontId="34" fillId="11" borderId="1" xfId="2" applyNumberFormat="1" applyFont="1" applyFill="1" applyBorder="1"/>
    <xf numFmtId="10" fontId="34" fillId="11" borderId="1" xfId="2" applyNumberFormat="1" applyFont="1" applyFill="1" applyBorder="1"/>
    <xf numFmtId="10" fontId="34" fillId="11" borderId="1" xfId="0" applyNumberFormat="1" applyFont="1" applyFill="1" applyBorder="1"/>
    <xf numFmtId="0" fontId="5" fillId="12" borderId="1" xfId="0" applyFont="1" applyFill="1" applyBorder="1"/>
    <xf numFmtId="164" fontId="11" fillId="12" borderId="1" xfId="1" applyNumberFormat="1" applyFont="1" applyFill="1" applyBorder="1"/>
    <xf numFmtId="165" fontId="11" fillId="12" borderId="1" xfId="2" applyNumberFormat="1" applyFont="1" applyFill="1" applyBorder="1"/>
    <xf numFmtId="10" fontId="11" fillId="12" borderId="1" xfId="2" applyNumberFormat="1" applyFont="1" applyFill="1" applyBorder="1"/>
    <xf numFmtId="10" fontId="11" fillId="12" borderId="1" xfId="0" applyNumberFormat="1" applyFont="1" applyFill="1" applyBorder="1"/>
    <xf numFmtId="10" fontId="12" fillId="13" borderId="1" xfId="0" applyNumberFormat="1" applyFont="1" applyFill="1" applyBorder="1"/>
    <xf numFmtId="0" fontId="14" fillId="14" borderId="1" xfId="0" applyFont="1" applyFill="1" applyBorder="1"/>
    <xf numFmtId="164" fontId="7" fillId="14" borderId="1" xfId="1" applyNumberFormat="1" applyFont="1" applyFill="1" applyBorder="1"/>
    <xf numFmtId="165" fontId="6" fillId="14" borderId="1" xfId="2" applyNumberFormat="1" applyFont="1" applyFill="1" applyBorder="1"/>
    <xf numFmtId="10" fontId="7" fillId="14" borderId="1" xfId="0" applyNumberFormat="1" applyFont="1" applyFill="1" applyBorder="1"/>
    <xf numFmtId="0" fontId="6" fillId="15" borderId="1" xfId="0" applyFont="1" applyFill="1" applyBorder="1"/>
    <xf numFmtId="164" fontId="6" fillId="15" borderId="1" xfId="1" applyNumberFormat="1" applyFont="1" applyFill="1" applyBorder="1"/>
    <xf numFmtId="164" fontId="6" fillId="15" borderId="1" xfId="0" applyNumberFormat="1" applyFont="1" applyFill="1" applyBorder="1"/>
    <xf numFmtId="0" fontId="6" fillId="0" borderId="0" xfId="0" applyFont="1"/>
    <xf numFmtId="0" fontId="0" fillId="0" borderId="1" xfId="0" applyBorder="1"/>
    <xf numFmtId="9" fontId="0" fillId="0" borderId="1" xfId="0" applyNumberFormat="1" applyBorder="1"/>
    <xf numFmtId="0" fontId="5" fillId="15" borderId="1" xfId="0" applyFont="1" applyFill="1" applyBorder="1"/>
    <xf numFmtId="0" fontId="0" fillId="15" borderId="1" xfId="0" applyFill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26" fillId="2" borderId="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75" zoomScaleNormal="175" workbookViewId="0">
      <selection activeCell="K11" sqref="K11"/>
    </sheetView>
  </sheetViews>
  <sheetFormatPr defaultRowHeight="14.4" x14ac:dyDescent="0.3"/>
  <cols>
    <col min="1" max="1" width="10.77734375" bestFit="1" customWidth="1"/>
    <col min="2" max="2" width="14.109375" bestFit="1" customWidth="1"/>
    <col min="3" max="3" width="10.33203125" bestFit="1" customWidth="1"/>
    <col min="4" max="4" width="9.77734375" bestFit="1" customWidth="1"/>
    <col min="5" max="5" width="10.77734375" bestFit="1" customWidth="1"/>
    <col min="6" max="6" width="9.109375" bestFit="1" customWidth="1"/>
    <col min="7" max="7" width="11.33203125" bestFit="1" customWidth="1"/>
    <col min="8" max="8" width="19.6640625" bestFit="1" customWidth="1"/>
    <col min="9" max="9" width="9.44140625" bestFit="1" customWidth="1"/>
  </cols>
  <sheetData>
    <row r="1" spans="1:11" ht="17.399999999999999" x14ac:dyDescent="0.3">
      <c r="A1" s="16" t="s">
        <v>0</v>
      </c>
      <c r="B1" s="16"/>
      <c r="C1" s="16"/>
      <c r="D1" s="16"/>
      <c r="E1" s="16"/>
      <c r="F1" s="16"/>
      <c r="G1" s="37"/>
      <c r="I1" s="5"/>
    </row>
    <row r="2" spans="1:11" ht="17.399999999999999" x14ac:dyDescent="0.3">
      <c r="A2" s="17" t="s">
        <v>1</v>
      </c>
      <c r="B2" s="17" t="s">
        <v>2</v>
      </c>
      <c r="C2" s="17" t="s">
        <v>3</v>
      </c>
      <c r="D2" s="17" t="s">
        <v>4</v>
      </c>
      <c r="E2" s="17" t="s">
        <v>6</v>
      </c>
      <c r="F2" s="17" t="s">
        <v>5</v>
      </c>
      <c r="G2" s="38" t="s">
        <v>27</v>
      </c>
      <c r="H2" s="144" t="s">
        <v>15</v>
      </c>
      <c r="I2" s="145"/>
    </row>
    <row r="3" spans="1:11" ht="16.2" x14ac:dyDescent="0.4">
      <c r="A3" s="139" t="s">
        <v>8</v>
      </c>
      <c r="B3" s="108" t="s">
        <v>55</v>
      </c>
      <c r="C3" s="109">
        <v>1000</v>
      </c>
      <c r="D3" s="110">
        <f t="shared" ref="D3:D16" si="0">C3/$C$17</f>
        <v>9.2592592592592587E-2</v>
      </c>
      <c r="E3" s="111">
        <v>0.09</v>
      </c>
      <c r="F3" s="112">
        <f>D3*E3</f>
        <v>8.3333333333333332E-3</v>
      </c>
      <c r="G3" s="10"/>
      <c r="H3" s="30" t="s">
        <v>16</v>
      </c>
      <c r="I3" s="21">
        <f>C17*73%</f>
        <v>7884</v>
      </c>
      <c r="J3" s="49">
        <f>I3/C17</f>
        <v>0.73</v>
      </c>
    </row>
    <row r="4" spans="1:11" ht="16.2" x14ac:dyDescent="0.4">
      <c r="A4" s="140"/>
      <c r="B4" s="108" t="s">
        <v>7</v>
      </c>
      <c r="C4" s="7">
        <v>1500</v>
      </c>
      <c r="D4" s="8">
        <f t="shared" si="0"/>
        <v>0.1388888888888889</v>
      </c>
      <c r="E4" s="9">
        <v>0.08</v>
      </c>
      <c r="F4" s="10">
        <f t="shared" ref="F4:F16" si="1">D4*E4</f>
        <v>1.1111111111111112E-2</v>
      </c>
      <c r="G4" s="10"/>
      <c r="H4" s="18" t="s">
        <v>17</v>
      </c>
      <c r="I4" s="130">
        <v>100</v>
      </c>
      <c r="J4" s="49">
        <f>I4/C17</f>
        <v>9.2592592592592587E-3</v>
      </c>
    </row>
    <row r="5" spans="1:11" ht="16.2" x14ac:dyDescent="0.4">
      <c r="A5" s="140"/>
      <c r="B5" s="108" t="s">
        <v>7</v>
      </c>
      <c r="C5" s="7">
        <v>700</v>
      </c>
      <c r="D5" s="8">
        <f t="shared" si="0"/>
        <v>6.4814814814814811E-2</v>
      </c>
      <c r="E5" s="9">
        <v>0.14000000000000001</v>
      </c>
      <c r="F5" s="10">
        <f t="shared" si="1"/>
        <v>9.0740740740740747E-3</v>
      </c>
      <c r="G5" s="10"/>
      <c r="H5" s="19" t="s">
        <v>18</v>
      </c>
      <c r="I5" s="132">
        <v>1200</v>
      </c>
    </row>
    <row r="6" spans="1:11" ht="16.2" x14ac:dyDescent="0.4">
      <c r="A6" s="140"/>
      <c r="B6" s="115" t="s">
        <v>7</v>
      </c>
      <c r="C6" s="116">
        <v>800</v>
      </c>
      <c r="D6" s="117">
        <f t="shared" si="0"/>
        <v>7.407407407407407E-2</v>
      </c>
      <c r="E6" s="118">
        <v>0.15</v>
      </c>
      <c r="F6" s="119">
        <f t="shared" si="1"/>
        <v>1.111111111111111E-2</v>
      </c>
      <c r="G6" s="10"/>
      <c r="H6" s="19" t="s">
        <v>22</v>
      </c>
      <c r="I6" s="21">
        <f>C17-SUM($I$3:$I$5)</f>
        <v>1616</v>
      </c>
    </row>
    <row r="7" spans="1:11" ht="16.2" x14ac:dyDescent="0.4">
      <c r="A7" s="140"/>
      <c r="B7" s="108" t="s">
        <v>7</v>
      </c>
      <c r="C7" s="7">
        <v>1200</v>
      </c>
      <c r="D7" s="8">
        <f t="shared" si="0"/>
        <v>0.1111111111111111</v>
      </c>
      <c r="E7" s="9">
        <v>0.1</v>
      </c>
      <c r="F7" s="10">
        <f t="shared" si="1"/>
        <v>1.1111111111111112E-2</v>
      </c>
      <c r="G7" s="10"/>
      <c r="H7" s="52" t="s">
        <v>19</v>
      </c>
      <c r="I7" s="51">
        <f>SUM(I3:I6)</f>
        <v>10800</v>
      </c>
    </row>
    <row r="8" spans="1:11" ht="16.2" x14ac:dyDescent="0.4">
      <c r="A8" s="140"/>
      <c r="B8" s="108" t="s">
        <v>7</v>
      </c>
      <c r="C8" s="7">
        <v>1100</v>
      </c>
      <c r="D8" s="8">
        <f t="shared" si="0"/>
        <v>0.10185185185185185</v>
      </c>
      <c r="E8" s="9">
        <v>0.12</v>
      </c>
      <c r="F8" s="10">
        <f t="shared" si="1"/>
        <v>1.2222222222222221E-2</v>
      </c>
      <c r="G8" s="10"/>
      <c r="H8" s="20" t="s">
        <v>20</v>
      </c>
      <c r="I8" s="22">
        <f>SUM(I4:I5)</f>
        <v>1300</v>
      </c>
    </row>
    <row r="9" spans="1:11" ht="16.2" x14ac:dyDescent="0.4">
      <c r="A9" s="140"/>
      <c r="B9" s="108" t="s">
        <v>7</v>
      </c>
      <c r="C9" s="25">
        <v>700</v>
      </c>
      <c r="D9" s="26">
        <f t="shared" si="0"/>
        <v>6.4814814814814811E-2</v>
      </c>
      <c r="E9" s="27">
        <v>0.13</v>
      </c>
      <c r="F9" s="28">
        <f t="shared" si="1"/>
        <v>8.4259259259259253E-3</v>
      </c>
      <c r="G9" s="28"/>
      <c r="H9" s="41" t="s">
        <v>21</v>
      </c>
      <c r="I9" s="23"/>
    </row>
    <row r="10" spans="1:11" ht="16.2" x14ac:dyDescent="0.4">
      <c r="A10" s="140"/>
      <c r="B10" s="120" t="s">
        <v>7</v>
      </c>
      <c r="C10" s="121">
        <v>500</v>
      </c>
      <c r="D10" s="122">
        <f t="shared" si="0"/>
        <v>4.6296296296296294E-2</v>
      </c>
      <c r="E10" s="123">
        <v>0.13</v>
      </c>
      <c r="F10" s="124">
        <f t="shared" si="1"/>
        <v>6.0185185185185185E-3</v>
      </c>
      <c r="G10" s="28"/>
    </row>
    <row r="11" spans="1:11" ht="16.2" x14ac:dyDescent="0.4">
      <c r="A11" s="140"/>
      <c r="B11" s="108" t="s">
        <v>7</v>
      </c>
      <c r="C11" s="25">
        <v>300</v>
      </c>
      <c r="D11" s="26">
        <f t="shared" si="0"/>
        <v>2.7777777777777776E-2</v>
      </c>
      <c r="E11" s="27">
        <v>0.12</v>
      </c>
      <c r="F11" s="28">
        <f t="shared" si="1"/>
        <v>3.3333333333333331E-3</v>
      </c>
      <c r="G11" s="28"/>
      <c r="H11" s="133">
        <v>8100</v>
      </c>
    </row>
    <row r="12" spans="1:11" ht="16.2" x14ac:dyDescent="0.4">
      <c r="A12" s="141"/>
      <c r="B12" s="108" t="s">
        <v>7</v>
      </c>
      <c r="C12" s="7">
        <v>300</v>
      </c>
      <c r="D12" s="8">
        <f t="shared" si="0"/>
        <v>2.7777777777777776E-2</v>
      </c>
      <c r="E12" s="9">
        <v>0.115</v>
      </c>
      <c r="F12" s="10">
        <f t="shared" si="1"/>
        <v>3.1944444444444442E-3</v>
      </c>
      <c r="G12" s="42">
        <f>(8200/10800)</f>
        <v>0.7592592592592593</v>
      </c>
    </row>
    <row r="13" spans="1:11" ht="16.2" x14ac:dyDescent="0.4">
      <c r="A13" s="142" t="s">
        <v>9</v>
      </c>
      <c r="B13" s="6" t="s">
        <v>10</v>
      </c>
      <c r="C13" s="7">
        <v>1000</v>
      </c>
      <c r="D13" s="8">
        <f t="shared" si="0"/>
        <v>9.2592592592592587E-2</v>
      </c>
      <c r="E13" s="113">
        <v>0.15</v>
      </c>
      <c r="F13" s="10">
        <f t="shared" si="1"/>
        <v>1.3888888888888888E-2</v>
      </c>
      <c r="G13" s="10">
        <f>C13/C17</f>
        <v>9.2592592592592587E-2</v>
      </c>
      <c r="I13" s="138" t="s">
        <v>60</v>
      </c>
      <c r="J13" s="138" t="s">
        <v>3</v>
      </c>
      <c r="K13" s="134" t="s">
        <v>66</v>
      </c>
    </row>
    <row r="14" spans="1:11" ht="16.2" x14ac:dyDescent="0.4">
      <c r="A14" s="143"/>
      <c r="B14" s="6" t="s">
        <v>59</v>
      </c>
      <c r="C14" s="131">
        <v>700</v>
      </c>
      <c r="D14" s="8">
        <f t="shared" si="0"/>
        <v>6.4814814814814811E-2</v>
      </c>
      <c r="E14" s="114">
        <v>0</v>
      </c>
      <c r="F14" s="10">
        <f t="shared" si="1"/>
        <v>0</v>
      </c>
      <c r="G14" s="10">
        <f>C14/C17</f>
        <v>6.4814814814814811E-2</v>
      </c>
      <c r="I14" s="136" t="s">
        <v>61</v>
      </c>
      <c r="J14" s="130">
        <f>H11*40%</f>
        <v>3240</v>
      </c>
      <c r="K14" s="137" t="s">
        <v>64</v>
      </c>
    </row>
    <row r="15" spans="1:11" ht="16.2" x14ac:dyDescent="0.4">
      <c r="A15" s="24" t="s">
        <v>12</v>
      </c>
      <c r="B15" s="6" t="s">
        <v>13</v>
      </c>
      <c r="C15" s="7">
        <v>800</v>
      </c>
      <c r="D15" s="8">
        <f t="shared" si="0"/>
        <v>7.407407407407407E-2</v>
      </c>
      <c r="E15" s="9">
        <v>0.14000000000000001</v>
      </c>
      <c r="F15" s="10">
        <f t="shared" si="1"/>
        <v>1.037037037037037E-2</v>
      </c>
      <c r="G15" s="10">
        <f>C15/C17</f>
        <v>7.407407407407407E-2</v>
      </c>
      <c r="I15" s="6" t="s">
        <v>62</v>
      </c>
      <c r="J15" s="14">
        <f>H11*20%</f>
        <v>1620</v>
      </c>
      <c r="K15" s="134" t="s">
        <v>65</v>
      </c>
    </row>
    <row r="16" spans="1:11" ht="16.2" x14ac:dyDescent="0.4">
      <c r="A16" s="24" t="s">
        <v>12</v>
      </c>
      <c r="B16" s="6" t="s">
        <v>28</v>
      </c>
      <c r="C16" s="7">
        <v>200</v>
      </c>
      <c r="D16" s="8">
        <f t="shared" si="0"/>
        <v>1.8518518518518517E-2</v>
      </c>
      <c r="E16" s="114">
        <v>0</v>
      </c>
      <c r="F16" s="10">
        <f t="shared" si="1"/>
        <v>0</v>
      </c>
      <c r="G16" s="39"/>
      <c r="I16" s="6" t="s">
        <v>63</v>
      </c>
      <c r="J16" s="14">
        <f>H11*40%</f>
        <v>3240</v>
      </c>
      <c r="K16" s="135">
        <v>0.4</v>
      </c>
    </row>
    <row r="17" spans="1:11" ht="16.2" x14ac:dyDescent="0.4">
      <c r="A17" s="4"/>
      <c r="B17" s="6" t="s">
        <v>14</v>
      </c>
      <c r="C17" s="107">
        <f>SUM(C3:C16)</f>
        <v>10800</v>
      </c>
      <c r="D17" s="13">
        <f>SUM(D3:D16)</f>
        <v>0.99999999999999978</v>
      </c>
      <c r="E17" s="14"/>
      <c r="F17" s="125">
        <f>SUM(F3:F16)</f>
        <v>0.10819444444444443</v>
      </c>
      <c r="G17" s="40"/>
      <c r="I17" s="134"/>
      <c r="J17" s="14">
        <f>SUM(J14:J16)</f>
        <v>8100</v>
      </c>
      <c r="K17" s="134"/>
    </row>
    <row r="19" spans="1:11" x14ac:dyDescent="0.3">
      <c r="C19" s="2"/>
    </row>
    <row r="20" spans="1:11" x14ac:dyDescent="0.3">
      <c r="E20" s="1">
        <f>C14*50%</f>
        <v>350</v>
      </c>
    </row>
  </sheetData>
  <mergeCells count="3">
    <mergeCell ref="A3:A12"/>
    <mergeCell ref="A13:A14"/>
    <mergeCell ref="H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0" zoomScale="156" zoomScaleNormal="175" workbookViewId="0">
      <selection activeCell="F19" sqref="F19"/>
    </sheetView>
  </sheetViews>
  <sheetFormatPr defaultRowHeight="14.4" x14ac:dyDescent="0.3"/>
  <cols>
    <col min="1" max="1" width="10.77734375" bestFit="1" customWidth="1"/>
    <col min="2" max="2" width="14.88671875" customWidth="1"/>
    <col min="3" max="3" width="11.44140625" customWidth="1"/>
    <col min="4" max="4" width="9.33203125" customWidth="1"/>
    <col min="5" max="5" width="10.88671875" customWidth="1"/>
    <col min="6" max="6" width="9.21875" bestFit="1" customWidth="1"/>
    <col min="7" max="7" width="11.33203125" bestFit="1" customWidth="1"/>
    <col min="8" max="8" width="19.5546875" bestFit="1" customWidth="1"/>
    <col min="9" max="9" width="11.44140625" customWidth="1"/>
  </cols>
  <sheetData>
    <row r="1" spans="1:10" ht="17.399999999999999" x14ac:dyDescent="0.3">
      <c r="A1" s="16" t="s">
        <v>0</v>
      </c>
      <c r="B1" s="16"/>
      <c r="C1" s="16"/>
      <c r="D1" s="16"/>
      <c r="E1" s="16"/>
      <c r="F1" s="16"/>
      <c r="G1" s="37"/>
    </row>
    <row r="2" spans="1:10" ht="17.399999999999999" x14ac:dyDescent="0.3">
      <c r="A2" s="17" t="s">
        <v>1</v>
      </c>
      <c r="B2" s="17" t="s">
        <v>2</v>
      </c>
      <c r="C2" s="17" t="s">
        <v>3</v>
      </c>
      <c r="D2" s="17" t="s">
        <v>4</v>
      </c>
      <c r="E2" s="17" t="s">
        <v>6</v>
      </c>
      <c r="F2" s="17" t="s">
        <v>5</v>
      </c>
      <c r="G2" s="38" t="s">
        <v>27</v>
      </c>
      <c r="H2" s="144" t="s">
        <v>15</v>
      </c>
      <c r="I2" s="145"/>
    </row>
    <row r="3" spans="1:10" ht="16.2" x14ac:dyDescent="0.4">
      <c r="A3" s="146" t="s">
        <v>23</v>
      </c>
      <c r="B3" s="6" t="s">
        <v>7</v>
      </c>
      <c r="C3" s="7">
        <v>1000</v>
      </c>
      <c r="D3" s="8">
        <f t="shared" ref="D3:D18" si="0">C3/$C$19</f>
        <v>7.7519379844961239E-2</v>
      </c>
      <c r="E3" s="9">
        <v>0.09</v>
      </c>
      <c r="F3" s="10">
        <f>D3*E3</f>
        <v>6.9767441860465115E-3</v>
      </c>
      <c r="G3" s="10"/>
      <c r="H3" s="45" t="s">
        <v>16</v>
      </c>
      <c r="I3" s="21">
        <f>C19*75%</f>
        <v>9675</v>
      </c>
    </row>
    <row r="4" spans="1:10" ht="16.2" x14ac:dyDescent="0.4">
      <c r="A4" s="147"/>
      <c r="B4" s="6" t="s">
        <v>7</v>
      </c>
      <c r="C4" s="7">
        <v>1800</v>
      </c>
      <c r="D4" s="8">
        <f t="shared" si="0"/>
        <v>0.13953488372093023</v>
      </c>
      <c r="E4" s="10">
        <v>0.08</v>
      </c>
      <c r="F4" s="10">
        <f t="shared" ref="F4:F18" si="1">D4*E4</f>
        <v>1.1162790697674419E-2</v>
      </c>
      <c r="G4" s="10"/>
      <c r="H4" s="46" t="s">
        <v>17</v>
      </c>
      <c r="I4" s="32">
        <v>200</v>
      </c>
    </row>
    <row r="5" spans="1:10" ht="16.2" x14ac:dyDescent="0.4">
      <c r="A5" s="147"/>
      <c r="B5" s="6" t="s">
        <v>7</v>
      </c>
      <c r="C5" s="34">
        <v>500</v>
      </c>
      <c r="D5" s="8">
        <f t="shared" si="0"/>
        <v>3.875968992248062E-2</v>
      </c>
      <c r="E5" s="29">
        <v>0.15</v>
      </c>
      <c r="F5" s="29">
        <f t="shared" si="1"/>
        <v>5.8139534883720929E-3</v>
      </c>
      <c r="G5" s="15"/>
      <c r="H5" s="47" t="s">
        <v>18</v>
      </c>
      <c r="I5" s="33">
        <v>2000</v>
      </c>
      <c r="J5" s="3"/>
    </row>
    <row r="6" spans="1:10" ht="16.2" x14ac:dyDescent="0.4">
      <c r="A6" s="147"/>
      <c r="B6" s="6" t="s">
        <v>7</v>
      </c>
      <c r="C6" s="7">
        <v>700</v>
      </c>
      <c r="D6" s="8">
        <f t="shared" si="0"/>
        <v>5.4263565891472867E-2</v>
      </c>
      <c r="E6" s="10">
        <v>8.1000000000000003E-2</v>
      </c>
      <c r="F6" s="10">
        <f t="shared" si="1"/>
        <v>4.3953488372093022E-3</v>
      </c>
      <c r="G6" s="10"/>
      <c r="H6" s="47" t="s">
        <v>22</v>
      </c>
      <c r="I6" s="21">
        <f>C19-SUM(I3:I5)</f>
        <v>1025</v>
      </c>
    </row>
    <row r="7" spans="1:10" ht="16.2" x14ac:dyDescent="0.4">
      <c r="A7" s="147"/>
      <c r="B7" s="6" t="s">
        <v>7</v>
      </c>
      <c r="C7" s="7">
        <v>800</v>
      </c>
      <c r="D7" s="8">
        <f t="shared" si="0"/>
        <v>6.2015503875968991E-2</v>
      </c>
      <c r="E7" s="10">
        <v>7.2499999999999995E-2</v>
      </c>
      <c r="F7" s="10">
        <f t="shared" si="1"/>
        <v>4.4961240310077517E-3</v>
      </c>
      <c r="G7" s="10"/>
      <c r="H7" s="50" t="s">
        <v>19</v>
      </c>
      <c r="I7" s="51">
        <f>SUM(I3:I6)</f>
        <v>12900</v>
      </c>
    </row>
    <row r="8" spans="1:10" ht="16.2" x14ac:dyDescent="0.4">
      <c r="A8" s="147"/>
      <c r="B8" s="6" t="s">
        <v>7</v>
      </c>
      <c r="C8" s="7">
        <v>1200</v>
      </c>
      <c r="D8" s="8">
        <f t="shared" si="0"/>
        <v>9.3023255813953487E-2</v>
      </c>
      <c r="E8" s="10">
        <v>0.1</v>
      </c>
      <c r="F8" s="10">
        <f t="shared" si="1"/>
        <v>9.3023255813953487E-3</v>
      </c>
      <c r="G8" s="10"/>
      <c r="H8" s="48" t="s">
        <v>20</v>
      </c>
      <c r="I8" s="22">
        <f>SUM(I4:I5)</f>
        <v>2200</v>
      </c>
    </row>
    <row r="9" spans="1:10" ht="16.2" x14ac:dyDescent="0.4">
      <c r="A9" s="147"/>
      <c r="B9" s="126" t="s">
        <v>24</v>
      </c>
      <c r="C9" s="127">
        <v>1100</v>
      </c>
      <c r="D9" s="128">
        <f t="shared" si="0"/>
        <v>8.5271317829457363E-2</v>
      </c>
      <c r="E9" s="129">
        <v>0.13500000000000001</v>
      </c>
      <c r="F9" s="129">
        <f t="shared" si="1"/>
        <v>1.1511627906976745E-2</v>
      </c>
      <c r="G9" s="11"/>
      <c r="H9" s="41" t="s">
        <v>21</v>
      </c>
      <c r="I9" s="23">
        <f>I8/SUM($C$3:$C$14,$C$17)</f>
        <v>0.2</v>
      </c>
    </row>
    <row r="10" spans="1:10" ht="16.2" x14ac:dyDescent="0.4">
      <c r="A10" s="147"/>
      <c r="B10" s="126" t="s">
        <v>56</v>
      </c>
      <c r="C10" s="127">
        <v>1000</v>
      </c>
      <c r="D10" s="128">
        <f t="shared" si="0"/>
        <v>7.7519379844961239E-2</v>
      </c>
      <c r="E10" s="129">
        <v>0.17</v>
      </c>
      <c r="F10" s="129">
        <f t="shared" si="1"/>
        <v>1.3178294573643412E-2</v>
      </c>
      <c r="G10" s="11"/>
    </row>
    <row r="11" spans="1:10" ht="16.2" x14ac:dyDescent="0.4">
      <c r="A11" s="147"/>
      <c r="B11" s="6" t="s">
        <v>7</v>
      </c>
      <c r="C11" s="34">
        <v>1000</v>
      </c>
      <c r="D11" s="8">
        <f t="shared" si="0"/>
        <v>7.7519379844961239E-2</v>
      </c>
      <c r="E11" s="29">
        <v>0.16</v>
      </c>
      <c r="F11" s="29">
        <f t="shared" si="1"/>
        <v>1.2403100775193798E-2</v>
      </c>
      <c r="G11" s="29"/>
    </row>
    <row r="12" spans="1:10" ht="16.2" x14ac:dyDescent="0.4">
      <c r="A12" s="147"/>
      <c r="B12" s="6" t="s">
        <v>7</v>
      </c>
      <c r="C12" s="7">
        <v>500</v>
      </c>
      <c r="D12" s="8">
        <f t="shared" si="0"/>
        <v>3.875968992248062E-2</v>
      </c>
      <c r="E12" s="10">
        <v>0.13</v>
      </c>
      <c r="F12" s="10">
        <f t="shared" si="1"/>
        <v>5.0387596899224806E-3</v>
      </c>
      <c r="G12" s="10"/>
    </row>
    <row r="13" spans="1:10" ht="16.2" x14ac:dyDescent="0.4">
      <c r="A13" s="147"/>
      <c r="B13" s="6" t="s">
        <v>7</v>
      </c>
      <c r="C13" s="7">
        <v>300</v>
      </c>
      <c r="D13" s="8">
        <f t="shared" si="0"/>
        <v>2.3255813953488372E-2</v>
      </c>
      <c r="E13" s="10">
        <v>0.15</v>
      </c>
      <c r="F13" s="10">
        <f t="shared" si="1"/>
        <v>3.4883720930232558E-3</v>
      </c>
      <c r="G13" s="10"/>
    </row>
    <row r="14" spans="1:10" ht="16.2" x14ac:dyDescent="0.4">
      <c r="A14" s="148"/>
      <c r="B14" s="6" t="s">
        <v>7</v>
      </c>
      <c r="C14" s="7">
        <v>300</v>
      </c>
      <c r="D14" s="8">
        <f t="shared" si="0"/>
        <v>2.3255813953488372E-2</v>
      </c>
      <c r="E14" s="10">
        <v>0.115</v>
      </c>
      <c r="F14" s="10">
        <f t="shared" si="1"/>
        <v>2.6744186046511629E-3</v>
      </c>
      <c r="G14" s="44">
        <f>(8200/10800)</f>
        <v>0.7592592592592593</v>
      </c>
    </row>
    <row r="15" spans="1:10" ht="16.2" x14ac:dyDescent="0.4">
      <c r="A15" s="142" t="s">
        <v>9</v>
      </c>
      <c r="B15" s="6" t="s">
        <v>10</v>
      </c>
      <c r="C15" s="7">
        <v>1000</v>
      </c>
      <c r="D15" s="8">
        <f t="shared" si="0"/>
        <v>7.7519379844961239E-2</v>
      </c>
      <c r="E15" s="10">
        <v>0.15</v>
      </c>
      <c r="F15" s="10">
        <f t="shared" si="1"/>
        <v>1.1627906976744186E-2</v>
      </c>
      <c r="G15" s="10">
        <f>C15/C19</f>
        <v>7.7519379844961239E-2</v>
      </c>
    </row>
    <row r="16" spans="1:10" ht="16.2" x14ac:dyDescent="0.4">
      <c r="A16" s="143"/>
      <c r="B16" s="6" t="s">
        <v>11</v>
      </c>
      <c r="C16" s="7">
        <v>700</v>
      </c>
      <c r="D16" s="8">
        <f t="shared" si="0"/>
        <v>5.4263565891472867E-2</v>
      </c>
      <c r="E16" s="10">
        <v>0</v>
      </c>
      <c r="F16" s="10">
        <f t="shared" si="1"/>
        <v>0</v>
      </c>
      <c r="G16" s="10">
        <f>C16/C19</f>
        <v>5.4263565891472867E-2</v>
      </c>
    </row>
    <row r="17" spans="1:7" ht="16.2" x14ac:dyDescent="0.4">
      <c r="A17" s="24" t="s">
        <v>12</v>
      </c>
      <c r="B17" s="6" t="s">
        <v>13</v>
      </c>
      <c r="C17" s="7">
        <v>800</v>
      </c>
      <c r="D17" s="8">
        <f t="shared" si="0"/>
        <v>6.2015503875968991E-2</v>
      </c>
      <c r="E17" s="10">
        <v>0.14000000000000001</v>
      </c>
      <c r="F17" s="10">
        <f t="shared" si="1"/>
        <v>8.6821705426356598E-3</v>
      </c>
      <c r="G17" s="10">
        <f>C17/C19</f>
        <v>6.2015503875968991E-2</v>
      </c>
    </row>
    <row r="18" spans="1:7" ht="16.2" x14ac:dyDescent="0.4">
      <c r="A18" s="24"/>
      <c r="B18" s="6" t="s">
        <v>28</v>
      </c>
      <c r="C18" s="7">
        <v>200</v>
      </c>
      <c r="D18" s="8">
        <f t="shared" si="0"/>
        <v>1.5503875968992248E-2</v>
      </c>
      <c r="E18" s="9">
        <v>0</v>
      </c>
      <c r="F18" s="10">
        <f t="shared" si="1"/>
        <v>0</v>
      </c>
      <c r="G18" s="39"/>
    </row>
    <row r="19" spans="1:7" ht="16.2" x14ac:dyDescent="0.4">
      <c r="A19" s="4"/>
      <c r="B19" s="6" t="s">
        <v>14</v>
      </c>
      <c r="C19" s="12">
        <f>SUM(C3:C18)</f>
        <v>12900</v>
      </c>
      <c r="D19" s="13">
        <f>SUM(D3:D18)</f>
        <v>1</v>
      </c>
      <c r="E19" s="14"/>
      <c r="F19" s="31">
        <f>SUM(F3:F17)</f>
        <v>0.11075193798449613</v>
      </c>
      <c r="G19" s="43"/>
    </row>
    <row r="21" spans="1:7" x14ac:dyDescent="0.3">
      <c r="C21" s="2"/>
    </row>
  </sheetData>
  <mergeCells count="3">
    <mergeCell ref="H2:I2"/>
    <mergeCell ref="A3:A14"/>
    <mergeCell ref="A15:A16"/>
  </mergeCells>
  <pageMargins left="0.7" right="0.7" top="0.75" bottom="0.75" header="0.3" footer="0.3"/>
  <pageSetup orientation="portrait" r:id="rId1"/>
  <ignoredErrors>
    <ignoredError sqref="I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85" zoomScaleNormal="85" workbookViewId="0">
      <selection activeCell="J9" sqref="J9"/>
    </sheetView>
  </sheetViews>
  <sheetFormatPr defaultRowHeight="14.4" x14ac:dyDescent="0.3"/>
  <cols>
    <col min="2" max="2" width="12.6640625" bestFit="1" customWidth="1"/>
    <col min="3" max="3" width="13.109375" bestFit="1" customWidth="1"/>
    <col min="4" max="4" width="13.5546875" bestFit="1" customWidth="1"/>
    <col min="5" max="5" width="12.33203125" bestFit="1" customWidth="1"/>
    <col min="6" max="6" width="9.21875" bestFit="1" customWidth="1"/>
    <col min="8" max="8" width="12.88671875" bestFit="1" customWidth="1"/>
    <col min="9" max="9" width="13.109375" bestFit="1" customWidth="1"/>
    <col min="10" max="10" width="14.21875" bestFit="1" customWidth="1"/>
    <col min="11" max="11" width="13.44140625" bestFit="1" customWidth="1"/>
    <col min="16" max="16" width="11.77734375" bestFit="1" customWidth="1"/>
  </cols>
  <sheetData>
    <row r="1" spans="1:16" ht="23.4" x14ac:dyDescent="0.45">
      <c r="A1" s="67" t="s">
        <v>2</v>
      </c>
      <c r="B1" s="67" t="s">
        <v>3</v>
      </c>
      <c r="C1" s="67" t="s">
        <v>4</v>
      </c>
      <c r="D1" s="67" t="s">
        <v>6</v>
      </c>
      <c r="E1" s="67" t="s">
        <v>5</v>
      </c>
      <c r="F1" s="68"/>
      <c r="G1" s="67" t="s">
        <v>2</v>
      </c>
      <c r="H1" s="67" t="s">
        <v>3</v>
      </c>
      <c r="I1" s="67" t="s">
        <v>4</v>
      </c>
      <c r="J1" s="67" t="s">
        <v>6</v>
      </c>
      <c r="K1" s="67" t="s">
        <v>5</v>
      </c>
    </row>
    <row r="2" spans="1:16" ht="24.6" x14ac:dyDescent="0.6">
      <c r="A2" s="54" t="s">
        <v>7</v>
      </c>
      <c r="B2" s="55">
        <v>1000</v>
      </c>
      <c r="C2" s="56">
        <f t="shared" ref="C2:C11" si="0">B2/$B$12</f>
        <v>0.12345679012345678</v>
      </c>
      <c r="D2" s="57">
        <f>'CoF Case 1'!E3</f>
        <v>0.09</v>
      </c>
      <c r="E2" s="57">
        <f>C2*D2</f>
        <v>1.111111111111111E-2</v>
      </c>
      <c r="F2" s="58"/>
      <c r="G2" s="54" t="s">
        <v>25</v>
      </c>
      <c r="H2" s="55">
        <v>1350</v>
      </c>
      <c r="I2" s="57">
        <f>H2/$H$12</f>
        <v>0.17123287671232876</v>
      </c>
      <c r="J2" s="57">
        <v>0.15</v>
      </c>
      <c r="K2" s="59">
        <f>I2*J2</f>
        <v>2.5684931506849314E-2</v>
      </c>
    </row>
    <row r="3" spans="1:16" ht="24.6" x14ac:dyDescent="0.6">
      <c r="A3" s="54" t="s">
        <v>7</v>
      </c>
      <c r="B3" s="55">
        <v>1500</v>
      </c>
      <c r="C3" s="56">
        <f t="shared" si="0"/>
        <v>0.18518518518518517</v>
      </c>
      <c r="D3" s="57">
        <f>'CoF Case 1'!E4</f>
        <v>0.08</v>
      </c>
      <c r="E3" s="57">
        <f t="shared" ref="E3:E11" si="1">C3*D3</f>
        <v>1.4814814814814814E-2</v>
      </c>
      <c r="F3" s="58"/>
      <c r="G3" s="54" t="s">
        <v>25</v>
      </c>
      <c r="H3" s="55">
        <v>1200</v>
      </c>
      <c r="I3" s="56">
        <f t="shared" ref="I3:I11" si="2">H3/$H$12</f>
        <v>0.15220700152207001</v>
      </c>
      <c r="J3" s="57">
        <v>0.14000000000000001</v>
      </c>
      <c r="K3" s="59">
        <f t="shared" ref="K3:K11" si="3">I3*J3</f>
        <v>2.1308980213089804E-2</v>
      </c>
    </row>
    <row r="4" spans="1:16" ht="24.6" x14ac:dyDescent="0.6">
      <c r="A4" s="54" t="s">
        <v>7</v>
      </c>
      <c r="B4" s="55">
        <v>700</v>
      </c>
      <c r="C4" s="56">
        <f t="shared" si="0"/>
        <v>8.6419753086419748E-2</v>
      </c>
      <c r="D4" s="57">
        <f>'CoF Case 1'!E5</f>
        <v>0.14000000000000001</v>
      </c>
      <c r="E4" s="57">
        <f t="shared" si="1"/>
        <v>1.2098765432098766E-2</v>
      </c>
      <c r="F4" s="58"/>
      <c r="G4" s="54" t="s">
        <v>25</v>
      </c>
      <c r="H4" s="55">
        <v>210</v>
      </c>
      <c r="I4" s="56">
        <f t="shared" si="2"/>
        <v>2.6636225266362251E-2</v>
      </c>
      <c r="J4" s="57">
        <v>0.15</v>
      </c>
      <c r="K4" s="59">
        <f t="shared" si="3"/>
        <v>3.9954337899543377E-3</v>
      </c>
    </row>
    <row r="5" spans="1:16" ht="24.6" x14ac:dyDescent="0.6">
      <c r="A5" s="54" t="s">
        <v>7</v>
      </c>
      <c r="B5" s="55">
        <v>800</v>
      </c>
      <c r="C5" s="56">
        <f t="shared" si="0"/>
        <v>9.8765432098765427E-2</v>
      </c>
      <c r="D5" s="57">
        <f>'CoF Case 1'!E6</f>
        <v>0.15</v>
      </c>
      <c r="E5" s="57">
        <f t="shared" si="1"/>
        <v>1.4814814814814814E-2</v>
      </c>
      <c r="F5" s="58"/>
      <c r="G5" s="54" t="s">
        <v>25</v>
      </c>
      <c r="H5" s="55">
        <v>1200</v>
      </c>
      <c r="I5" s="56">
        <f t="shared" si="2"/>
        <v>0.15220700152207001</v>
      </c>
      <c r="J5" s="57">
        <v>0.14499999999999999</v>
      </c>
      <c r="K5" s="59">
        <f t="shared" si="3"/>
        <v>2.2070015220700151E-2</v>
      </c>
    </row>
    <row r="6" spans="1:16" ht="24.6" x14ac:dyDescent="0.6">
      <c r="A6" s="54" t="s">
        <v>7</v>
      </c>
      <c r="B6" s="55">
        <v>1200</v>
      </c>
      <c r="C6" s="56">
        <f t="shared" si="0"/>
        <v>0.14814814814814814</v>
      </c>
      <c r="D6" s="57">
        <f>'CoF Case 1'!E7</f>
        <v>0.1</v>
      </c>
      <c r="E6" s="57">
        <f t="shared" si="1"/>
        <v>1.4814814814814815E-2</v>
      </c>
      <c r="F6" s="58"/>
      <c r="G6" s="54" t="s">
        <v>25</v>
      </c>
      <c r="H6" s="55">
        <v>109</v>
      </c>
      <c r="I6" s="56">
        <f t="shared" si="2"/>
        <v>1.3825469304921359E-2</v>
      </c>
      <c r="J6" s="57">
        <v>0.15</v>
      </c>
      <c r="K6" s="59">
        <f t="shared" si="3"/>
        <v>2.0738203957382036E-3</v>
      </c>
      <c r="N6" s="35"/>
      <c r="O6" s="36"/>
      <c r="P6" s="35"/>
    </row>
    <row r="7" spans="1:16" ht="24.6" x14ac:dyDescent="0.6">
      <c r="A7" s="54" t="s">
        <v>7</v>
      </c>
      <c r="B7" s="55">
        <v>1100</v>
      </c>
      <c r="C7" s="56">
        <f t="shared" si="0"/>
        <v>0.13580246913580246</v>
      </c>
      <c r="D7" s="57">
        <f>'CoF Case 1'!E8</f>
        <v>0.12</v>
      </c>
      <c r="E7" s="57">
        <f t="shared" si="1"/>
        <v>1.6296296296296295E-2</v>
      </c>
      <c r="F7" s="58"/>
      <c r="G7" s="54" t="s">
        <v>25</v>
      </c>
      <c r="H7" s="55">
        <v>1245</v>
      </c>
      <c r="I7" s="56">
        <f t="shared" si="2"/>
        <v>0.15791476407914765</v>
      </c>
      <c r="J7" s="57">
        <v>0.16</v>
      </c>
      <c r="K7" s="59">
        <f t="shared" si="3"/>
        <v>2.5266362252663623E-2</v>
      </c>
    </row>
    <row r="8" spans="1:16" ht="24.6" x14ac:dyDescent="0.6">
      <c r="A8" s="54" t="s">
        <v>7</v>
      </c>
      <c r="B8" s="60">
        <v>700</v>
      </c>
      <c r="C8" s="56">
        <f t="shared" si="0"/>
        <v>8.6419753086419748E-2</v>
      </c>
      <c r="D8" s="57">
        <f>'CoF Case 1'!E9</f>
        <v>0.13</v>
      </c>
      <c r="E8" s="61">
        <f t="shared" si="1"/>
        <v>1.1234567901234567E-2</v>
      </c>
      <c r="F8" s="58"/>
      <c r="G8" s="54" t="s">
        <v>25</v>
      </c>
      <c r="H8" s="60">
        <v>1560</v>
      </c>
      <c r="I8" s="56">
        <f t="shared" si="2"/>
        <v>0.19786910197869101</v>
      </c>
      <c r="J8" s="61">
        <v>0.155</v>
      </c>
      <c r="K8" s="62">
        <f t="shared" si="3"/>
        <v>3.0669710806697108E-2</v>
      </c>
      <c r="M8" s="1"/>
    </row>
    <row r="9" spans="1:16" ht="24.6" x14ac:dyDescent="0.6">
      <c r="A9" s="54" t="s">
        <v>7</v>
      </c>
      <c r="B9" s="60">
        <v>500</v>
      </c>
      <c r="C9" s="56">
        <f t="shared" si="0"/>
        <v>6.1728395061728392E-2</v>
      </c>
      <c r="D9" s="57">
        <f>'CoF Case 1'!E10</f>
        <v>0.13</v>
      </c>
      <c r="E9" s="61">
        <f t="shared" si="1"/>
        <v>8.024691358024692E-3</v>
      </c>
      <c r="F9" s="58"/>
      <c r="G9" s="54" t="s">
        <v>25</v>
      </c>
      <c r="H9" s="60">
        <v>345</v>
      </c>
      <c r="I9" s="56">
        <f t="shared" si="2"/>
        <v>4.3759512937595127E-2</v>
      </c>
      <c r="J9" s="61">
        <v>0.14499999999999999</v>
      </c>
      <c r="K9" s="62">
        <f t="shared" si="3"/>
        <v>6.3451293759512932E-3</v>
      </c>
    </row>
    <row r="10" spans="1:16" ht="24.6" x14ac:dyDescent="0.6">
      <c r="A10" s="54" t="s">
        <v>7</v>
      </c>
      <c r="B10" s="60">
        <v>300</v>
      </c>
      <c r="C10" s="56">
        <f t="shared" si="0"/>
        <v>3.7037037037037035E-2</v>
      </c>
      <c r="D10" s="57">
        <f>'CoF Case 1'!E11</f>
        <v>0.12</v>
      </c>
      <c r="E10" s="61">
        <f t="shared" si="1"/>
        <v>4.4444444444444444E-3</v>
      </c>
      <c r="F10" s="58"/>
      <c r="G10" s="54" t="s">
        <v>25</v>
      </c>
      <c r="H10" s="60">
        <v>170</v>
      </c>
      <c r="I10" s="56">
        <f t="shared" si="2"/>
        <v>2.1562658548959918E-2</v>
      </c>
      <c r="J10" s="61">
        <v>0.13</v>
      </c>
      <c r="K10" s="62">
        <f t="shared" si="3"/>
        <v>2.8031456113647895E-3</v>
      </c>
    </row>
    <row r="11" spans="1:16" ht="24.6" x14ac:dyDescent="0.6">
      <c r="A11" s="54" t="s">
        <v>7</v>
      </c>
      <c r="B11" s="55">
        <v>300</v>
      </c>
      <c r="C11" s="56">
        <f t="shared" si="0"/>
        <v>3.7037037037037035E-2</v>
      </c>
      <c r="D11" s="57">
        <f>'CoF Case 1'!E12</f>
        <v>0.115</v>
      </c>
      <c r="E11" s="57">
        <f t="shared" si="1"/>
        <v>4.2592592592592595E-3</v>
      </c>
      <c r="F11" s="58"/>
      <c r="G11" s="54" t="s">
        <v>25</v>
      </c>
      <c r="H11" s="55">
        <v>495</v>
      </c>
      <c r="I11" s="56">
        <f t="shared" si="2"/>
        <v>6.2785388127853878E-2</v>
      </c>
      <c r="J11" s="57">
        <v>0.13500000000000001</v>
      </c>
      <c r="K11" s="59">
        <f t="shared" si="3"/>
        <v>8.4760273972602738E-3</v>
      </c>
      <c r="M11">
        <v>7884</v>
      </c>
    </row>
    <row r="12" spans="1:16" ht="24.6" x14ac:dyDescent="0.6">
      <c r="A12" s="54" t="s">
        <v>14</v>
      </c>
      <c r="B12" s="63">
        <f>SUM(B2:B11)</f>
        <v>8100</v>
      </c>
      <c r="C12" s="64">
        <f>SUM(C2:C11)</f>
        <v>0.99999999999999978</v>
      </c>
      <c r="D12" s="59">
        <f>SUM(D2:D11)</f>
        <v>1.175</v>
      </c>
      <c r="E12" s="65">
        <f>SUM(E2:E11)</f>
        <v>0.11191358024691357</v>
      </c>
      <c r="F12" s="58"/>
      <c r="G12" s="54" t="s">
        <v>14</v>
      </c>
      <c r="H12" s="63">
        <f>SUM(H2:H11)</f>
        <v>7884</v>
      </c>
      <c r="I12" s="64">
        <f>SUM(I2:I11)</f>
        <v>0.99999999999999989</v>
      </c>
      <c r="J12" s="59">
        <f>SUM(J2:J11)</f>
        <v>1.4600000000000002</v>
      </c>
      <c r="K12" s="65">
        <f>SUM(K2:K11)</f>
        <v>0.14869355657026892</v>
      </c>
    </row>
    <row r="13" spans="1:16" x14ac:dyDescent="0.3">
      <c r="D13">
        <f>D12/10*100</f>
        <v>11.75</v>
      </c>
      <c r="J13">
        <f>J12/10*100</f>
        <v>14.600000000000001</v>
      </c>
    </row>
    <row r="14" spans="1:16" x14ac:dyDescent="0.3">
      <c r="M14" s="1">
        <f>M11-H12</f>
        <v>0</v>
      </c>
    </row>
    <row r="15" spans="1:16" ht="23.4" x14ac:dyDescent="0.45">
      <c r="C15" t="s">
        <v>57</v>
      </c>
      <c r="D15" s="149" t="s">
        <v>26</v>
      </c>
      <c r="E15" s="150"/>
      <c r="F15" s="66">
        <f>K12-E12</f>
        <v>3.6779976323355348E-2</v>
      </c>
    </row>
    <row r="17" spans="5:6" x14ac:dyDescent="0.3">
      <c r="E17" t="s">
        <v>29</v>
      </c>
      <c r="F17" s="69">
        <f>H12/B12</f>
        <v>0.97333333333333338</v>
      </c>
    </row>
    <row r="19" spans="5:6" x14ac:dyDescent="0.3">
      <c r="F19">
        <f>J13-D13</f>
        <v>2.8500000000000014</v>
      </c>
    </row>
  </sheetData>
  <mergeCells count="1">
    <mergeCell ref="D15:E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5" workbookViewId="0">
      <selection activeCell="C13" sqref="C13"/>
    </sheetView>
  </sheetViews>
  <sheetFormatPr defaultRowHeight="14.4" x14ac:dyDescent="0.3"/>
  <cols>
    <col min="2" max="2" width="29.109375" bestFit="1" customWidth="1"/>
    <col min="3" max="3" width="13.5546875" bestFit="1" customWidth="1"/>
    <col min="4" max="4" width="9.6640625" bestFit="1" customWidth="1"/>
    <col min="5" max="5" width="17.6640625" bestFit="1" customWidth="1"/>
    <col min="7" max="7" width="19.6640625" bestFit="1" customWidth="1"/>
    <col min="8" max="8" width="11.77734375" bestFit="1" customWidth="1"/>
    <col min="9" max="9" width="12" bestFit="1" customWidth="1"/>
    <col min="10" max="10" width="12.6640625" bestFit="1" customWidth="1"/>
  </cols>
  <sheetData>
    <row r="1" spans="1:10" ht="24.6" x14ac:dyDescent="0.4">
      <c r="B1" s="76" t="s">
        <v>30</v>
      </c>
      <c r="C1" s="77" t="s">
        <v>3</v>
      </c>
      <c r="D1" s="78" t="s">
        <v>33</v>
      </c>
      <c r="E1" s="79" t="s">
        <v>31</v>
      </c>
      <c r="G1" s="76" t="s">
        <v>34</v>
      </c>
      <c r="H1" s="77" t="s">
        <v>3</v>
      </c>
      <c r="I1" s="78" t="s">
        <v>33</v>
      </c>
      <c r="J1" s="79" t="s">
        <v>35</v>
      </c>
    </row>
    <row r="2" spans="1:10" ht="25.8" x14ac:dyDescent="0.5">
      <c r="A2" s="70"/>
      <c r="B2" s="80" t="s">
        <v>16</v>
      </c>
      <c r="C2" s="53">
        <f>'Spread Rate'!H12</f>
        <v>7884</v>
      </c>
      <c r="D2" s="75">
        <f>'Spread Rate'!K12</f>
        <v>0.14869355657026892</v>
      </c>
      <c r="E2" s="81">
        <f>C2*D2</f>
        <v>1172.3000000000002</v>
      </c>
      <c r="G2" s="80" t="s">
        <v>23</v>
      </c>
      <c r="H2" s="14">
        <f>'Spread Rate'!B12</f>
        <v>8100</v>
      </c>
      <c r="I2" s="10">
        <f>'Spread Rate'!E12</f>
        <v>0.11191358024691357</v>
      </c>
      <c r="J2" s="81">
        <f>H2*I2</f>
        <v>906.49999999999989</v>
      </c>
    </row>
    <row r="3" spans="1:10" ht="25.8" x14ac:dyDescent="0.5">
      <c r="A3" s="70"/>
      <c r="B3" s="80" t="s">
        <v>18</v>
      </c>
      <c r="C3" s="53">
        <f>'CoF Case 1'!I5</f>
        <v>1200</v>
      </c>
      <c r="D3" s="75">
        <v>9.5000000000000001E-2</v>
      </c>
      <c r="E3" s="81">
        <f>C3*D3</f>
        <v>114</v>
      </c>
      <c r="G3" s="80" t="s">
        <v>36</v>
      </c>
      <c r="H3" s="14">
        <f>'CoF Case 1'!C13</f>
        <v>1000</v>
      </c>
      <c r="I3" s="10">
        <f>'CoF Case 1'!E13</f>
        <v>0.15</v>
      </c>
      <c r="J3" s="81">
        <f t="shared" ref="J3:J6" si="0">H3*I3</f>
        <v>150</v>
      </c>
    </row>
    <row r="4" spans="1:10" ht="25.8" x14ac:dyDescent="0.5">
      <c r="A4" s="70"/>
      <c r="B4" s="80" t="s">
        <v>17</v>
      </c>
      <c r="C4" s="53">
        <f>'CoF Case 1'!I4</f>
        <v>100</v>
      </c>
      <c r="D4" s="53">
        <v>0</v>
      </c>
      <c r="E4" s="81">
        <f>C4*D4</f>
        <v>0</v>
      </c>
      <c r="G4" s="80" t="s">
        <v>11</v>
      </c>
      <c r="H4" s="14">
        <f>'CoF Case 1'!C14</f>
        <v>700</v>
      </c>
      <c r="I4" s="14">
        <v>0</v>
      </c>
      <c r="J4" s="81">
        <f t="shared" si="0"/>
        <v>0</v>
      </c>
    </row>
    <row r="5" spans="1:10" ht="25.8" x14ac:dyDescent="0.5">
      <c r="A5" s="70"/>
      <c r="B5" s="80" t="s">
        <v>22</v>
      </c>
      <c r="C5" s="53">
        <f>'CoF Case 1'!I6</f>
        <v>1616</v>
      </c>
      <c r="D5" s="53">
        <v>0</v>
      </c>
      <c r="E5" s="81">
        <f>C5*D5</f>
        <v>0</v>
      </c>
      <c r="G5" s="80" t="s">
        <v>37</v>
      </c>
      <c r="H5" s="14">
        <f>'CoF Case 1'!C16</f>
        <v>200</v>
      </c>
      <c r="I5" s="14">
        <v>0</v>
      </c>
      <c r="J5" s="81">
        <f t="shared" si="0"/>
        <v>0</v>
      </c>
    </row>
    <row r="6" spans="1:10" ht="26.4" thickBot="1" x14ac:dyDescent="0.55000000000000004">
      <c r="A6" s="70"/>
      <c r="B6" s="82" t="s">
        <v>32</v>
      </c>
      <c r="C6" s="83">
        <f>SUM(C2:C5)</f>
        <v>10800</v>
      </c>
      <c r="D6" s="84"/>
      <c r="E6" s="86">
        <f>SUM(E2:E5)</f>
        <v>1286.3000000000002</v>
      </c>
      <c r="G6" s="80" t="s">
        <v>38</v>
      </c>
      <c r="H6" s="14">
        <f>'CoF Case 1'!C15</f>
        <v>800</v>
      </c>
      <c r="I6" s="10">
        <f>'CoF Case 1'!E15</f>
        <v>0.14000000000000001</v>
      </c>
      <c r="J6" s="81">
        <f t="shared" si="0"/>
        <v>112.00000000000001</v>
      </c>
    </row>
    <row r="7" spans="1:10" ht="26.4" thickBot="1" x14ac:dyDescent="0.55000000000000004">
      <c r="A7" s="70"/>
      <c r="C7" s="71"/>
      <c r="G7" s="82" t="s">
        <v>32</v>
      </c>
      <c r="H7" s="83">
        <f>SUM(H2:H6)</f>
        <v>10800</v>
      </c>
      <c r="I7" s="84"/>
      <c r="J7" s="85">
        <f>SUM(J2:J6)</f>
        <v>1168.5</v>
      </c>
    </row>
    <row r="8" spans="1:10" ht="24.6" x14ac:dyDescent="0.4">
      <c r="B8" s="88" t="s">
        <v>39</v>
      </c>
      <c r="C8" s="89" t="s">
        <v>3</v>
      </c>
      <c r="D8" s="87"/>
      <c r="E8" s="87"/>
    </row>
    <row r="9" spans="1:10" ht="27" x14ac:dyDescent="0.6">
      <c r="B9" s="80" t="s">
        <v>40</v>
      </c>
      <c r="C9" s="91">
        <f>E6-J7</f>
        <v>117.80000000000018</v>
      </c>
    </row>
    <row r="10" spans="1:10" ht="39.6" x14ac:dyDescent="0.6">
      <c r="B10" s="80" t="s">
        <v>58</v>
      </c>
      <c r="C10" s="91">
        <v>12</v>
      </c>
      <c r="G10" s="97" t="s">
        <v>44</v>
      </c>
      <c r="H10" s="97" t="s">
        <v>45</v>
      </c>
      <c r="I10" s="98" t="s">
        <v>50</v>
      </c>
      <c r="J10" s="98" t="s">
        <v>51</v>
      </c>
    </row>
    <row r="11" spans="1:10" ht="27.6" thickBot="1" x14ac:dyDescent="0.65">
      <c r="B11" s="80" t="s">
        <v>42</v>
      </c>
      <c r="C11" s="92">
        <v>-22</v>
      </c>
      <c r="G11" s="93" t="s">
        <v>46</v>
      </c>
      <c r="H11" s="95">
        <v>0.01</v>
      </c>
      <c r="I11" s="96">
        <v>7510</v>
      </c>
      <c r="J11" s="96">
        <f>I11*H11</f>
        <v>75.100000000000009</v>
      </c>
    </row>
    <row r="12" spans="1:10" ht="27.6" thickBot="1" x14ac:dyDescent="0.65">
      <c r="B12" s="90" t="s">
        <v>43</v>
      </c>
      <c r="C12" s="94">
        <f>-J15</f>
        <v>-85.640000000000015</v>
      </c>
      <c r="G12" s="93" t="s">
        <v>47</v>
      </c>
      <c r="H12" s="95">
        <v>0.01</v>
      </c>
      <c r="I12" s="14">
        <v>354</v>
      </c>
      <c r="J12" s="14">
        <f t="shared" ref="J12:J14" si="1">I12*H12</f>
        <v>3.54</v>
      </c>
    </row>
    <row r="13" spans="1:10" ht="27.6" thickBot="1" x14ac:dyDescent="0.65">
      <c r="B13" s="104" t="s">
        <v>41</v>
      </c>
      <c r="C13" s="103">
        <f>SUM(C9:C12)</f>
        <v>22.160000000000167</v>
      </c>
      <c r="E13" s="74"/>
      <c r="G13" s="93" t="s">
        <v>48</v>
      </c>
      <c r="H13" s="95">
        <v>0.35</v>
      </c>
      <c r="I13" s="14">
        <v>20</v>
      </c>
      <c r="J13" s="14">
        <f t="shared" si="1"/>
        <v>7</v>
      </c>
    </row>
    <row r="14" spans="1:10" ht="27" thickBot="1" x14ac:dyDescent="0.6">
      <c r="A14" s="70"/>
      <c r="B14" s="105" t="s">
        <v>54</v>
      </c>
      <c r="C14" s="106">
        <f>(C13/C6)</f>
        <v>2.0518518518518672E-3</v>
      </c>
      <c r="G14" s="93" t="s">
        <v>49</v>
      </c>
      <c r="H14" s="95">
        <v>1</v>
      </c>
      <c r="I14" s="14">
        <v>0</v>
      </c>
      <c r="J14" s="14">
        <f t="shared" si="1"/>
        <v>0</v>
      </c>
    </row>
    <row r="15" spans="1:10" ht="19.2" thickBot="1" x14ac:dyDescent="0.45">
      <c r="A15" s="70"/>
      <c r="G15" s="151" t="s">
        <v>14</v>
      </c>
      <c r="H15" s="152"/>
      <c r="I15" s="14">
        <f>SUM(I11:I14)</f>
        <v>7884</v>
      </c>
      <c r="J15" s="14">
        <f>SUM(J11:J14)</f>
        <v>85.640000000000015</v>
      </c>
    </row>
    <row r="16" spans="1:10" ht="37.200000000000003" x14ac:dyDescent="0.4">
      <c r="A16" s="70"/>
      <c r="C16" s="72"/>
      <c r="G16" s="99" t="s">
        <v>52</v>
      </c>
      <c r="H16" s="100">
        <f>I12+I13</f>
        <v>374</v>
      </c>
    </row>
    <row r="17" spans="1:8" ht="19.2" thickBot="1" x14ac:dyDescent="0.45">
      <c r="A17" s="73"/>
      <c r="C17" s="73"/>
      <c r="G17" s="101" t="s">
        <v>53</v>
      </c>
      <c r="H17" s="102">
        <f>H16/I15</f>
        <v>4.7437848807711819E-2</v>
      </c>
    </row>
  </sheetData>
  <mergeCells count="1">
    <mergeCell ref="G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CoF Case 1</vt:lpstr>
      <vt:lpstr>CoF Case 2</vt:lpstr>
      <vt:lpstr>Spread Rate</vt:lpstr>
      <vt:lpstr>Income effect on Case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Prabin Acharya</dc:creator>
  <cp:lastModifiedBy>User</cp:lastModifiedBy>
  <dcterms:created xsi:type="dcterms:W3CDTF">2022-09-20T07:37:20Z</dcterms:created>
  <dcterms:modified xsi:type="dcterms:W3CDTF">2022-11-13T07:02:36Z</dcterms:modified>
</cp:coreProperties>
</file>